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bookViews>
  <sheets>
    <sheet name="Amortisationsrechnung" sheetId="1" r:id="rId1"/>
    <sheet name="Vorgaben" sheetId="2" r:id="rId2"/>
  </sheets>
  <definedNames>
    <definedName name="_xlnm.Print_Area" localSheetId="0">Amortisationsrechnung!$B$1:$K$35</definedName>
  </definedNames>
  <calcPr calcId="145621"/>
</workbook>
</file>

<file path=xl/calcChain.xml><?xml version="1.0" encoding="utf-8"?>
<calcChain xmlns="http://schemas.openxmlformats.org/spreadsheetml/2006/main">
  <c r="I12" i="1" l="1"/>
  <c r="I8" i="1" l="1"/>
  <c r="I9" i="1"/>
  <c r="I10" i="1"/>
  <c r="I11" i="1"/>
  <c r="I7" i="1"/>
  <c r="D8" i="1"/>
  <c r="D9" i="1"/>
  <c r="D10" i="1"/>
  <c r="D11" i="1"/>
  <c r="D7" i="1"/>
  <c r="F7" i="1" s="1"/>
  <c r="K8" i="1" l="1"/>
  <c r="K9" i="1"/>
  <c r="K10" i="1"/>
  <c r="K11" i="1"/>
  <c r="G22" i="1"/>
  <c r="K16" i="1"/>
  <c r="D12" i="1" l="1"/>
  <c r="H17" i="1"/>
  <c r="K17" i="1" s="1"/>
  <c r="K7" i="1" l="1"/>
  <c r="C24" i="1" l="1"/>
  <c r="C26" i="1" l="1"/>
  <c r="C25" i="1"/>
  <c r="K12" i="1"/>
  <c r="C28" i="1" l="1"/>
  <c r="J28" i="1" l="1"/>
  <c r="J29" i="1"/>
  <c r="K18" i="1"/>
  <c r="C29" i="1" s="1"/>
  <c r="D30" i="1" s="1"/>
</calcChain>
</file>

<file path=xl/sharedStrings.xml><?xml version="1.0" encoding="utf-8"?>
<sst xmlns="http://schemas.openxmlformats.org/spreadsheetml/2006/main" count="85" uniqueCount="74">
  <si>
    <t>Anzahl</t>
  </si>
  <si>
    <t>Kosten</t>
  </si>
  <si>
    <t>Stückzahl</t>
  </si>
  <si>
    <t>Betriebsdauer pro Tag [h]</t>
  </si>
  <si>
    <t>Werktage pro Woche</t>
  </si>
  <si>
    <t>Umrüstung GESAMT</t>
  </si>
  <si>
    <t>Betriebsdauer pro Jahr [h]</t>
  </si>
  <si>
    <t>Leistung [W]</t>
  </si>
  <si>
    <t>Betriebskosten &amp; Amortisation</t>
  </si>
  <si>
    <t>Investitionskosten für Beleuchtung</t>
  </si>
  <si>
    <t>Energiekosten [€/kWh]</t>
  </si>
  <si>
    <t>Schätzung Tausch- und Umrüstkosten pro Leuchte (Schätzung)</t>
  </si>
  <si>
    <t>Entsorgung pro Röhre (basierend auf unverbindlichen Marktpreisen)</t>
  </si>
  <si>
    <t>LED-Ersatz</t>
  </si>
  <si>
    <t>Vorhandene Leuchten</t>
  </si>
  <si>
    <t>Arbeit</t>
  </si>
  <si>
    <t>Amortisation in Kalendertagen [d] inkl. Umrüstung und Entsorgung</t>
  </si>
  <si>
    <t>Energiekostenersparnis
pro Kalenderjahr</t>
  </si>
  <si>
    <t>Energiekosten / Jahr mit LED</t>
  </si>
  <si>
    <t>Energiekosten / Jahr konventionell</t>
  </si>
  <si>
    <t>Bisherige Beleuchtung</t>
  </si>
  <si>
    <t>Wattage</t>
  </si>
  <si>
    <t>LED Beleuchtung</t>
  </si>
  <si>
    <t>Leuchte, einflammig, 150 cm</t>
  </si>
  <si>
    <t>Leuchte, zweiflammig, 150 cm</t>
  </si>
  <si>
    <t>Leuchte, einflammig, 120 cm</t>
  </si>
  <si>
    <t>Leuchte, zweiflammig, 120 cm</t>
  </si>
  <si>
    <t>Leuchte, dreiflammig, 60 cm</t>
  </si>
  <si>
    <t>Leuchte, vierflammig, 60 cm</t>
  </si>
  <si>
    <t>LED-Panel, 595x595 o. 620x620</t>
  </si>
  <si>
    <t>HQL-Leuchte, 250 Watt</t>
  </si>
  <si>
    <t>HQL-Leuchte, 400 Watt</t>
  </si>
  <si>
    <t>HQL-Leuchte, 500 Watt</t>
  </si>
  <si>
    <t>LED-Hallenleuchte, 100 W</t>
  </si>
  <si>
    <t>LED-Hallenleuchte, 150 W</t>
  </si>
  <si>
    <t>LED-Hallenleuchte, 200 W</t>
  </si>
  <si>
    <t>LED-Hallenleuchte, 300 W</t>
  </si>
  <si>
    <t>LED-Hallenleuchte, 400 W</t>
  </si>
  <si>
    <t>LED-Hallenleuchte, 80 W</t>
  </si>
  <si>
    <t>LED-Hallenleuchte, 120 W</t>
  </si>
  <si>
    <t>LED-Hallenleuchte, 160 W</t>
  </si>
  <si>
    <t>LED-Wannenleuchte, 40 W</t>
  </si>
  <si>
    <t>LED-Wannenleuchte, 60 W</t>
  </si>
  <si>
    <t>Halogenstrahler, 400 Watt</t>
  </si>
  <si>
    <t>Halogenstrahler, 500 Watt</t>
  </si>
  <si>
    <t>LED-Aussenleuchte, 50 W</t>
  </si>
  <si>
    <t>LED-Aussenleuchte, 80 W</t>
  </si>
  <si>
    <t>LED-Aussenleuchte, 140 W</t>
  </si>
  <si>
    <t>LED-Arbeitsleuchten, 40 W</t>
  </si>
  <si>
    <t>LED-Arbeitsleuchten, 60 W</t>
  </si>
  <si>
    <t>Halogenstrahler, 250 Watt</t>
  </si>
  <si>
    <t>LED-Röhre 150 cm, 22 W</t>
  </si>
  <si>
    <t>LED-Röhre 150 cm, 25 W</t>
  </si>
  <si>
    <t>LED-Röhre 150 cm, 30 W</t>
  </si>
  <si>
    <t>LED-Röhre 120 cm, 20 W</t>
  </si>
  <si>
    <t>LED-Röhre 90 cm, 18 W</t>
  </si>
  <si>
    <t>LED-Röhre 60 cm, 10 W</t>
  </si>
  <si>
    <t>Stromersparnis
pro Kalenderjahr</t>
  </si>
  <si>
    <t>CO2-Einsparung
pro Kalenderjahr</t>
  </si>
  <si>
    <t>LEDoptix Amortisationsrechner</t>
  </si>
  <si>
    <t>Abschätzung der Umrüstung</t>
  </si>
  <si>
    <t xml:space="preserve">   aus Ihrer Stromrechnung</t>
  </si>
  <si>
    <t>Hinweise zur Bedienung des Amortisationsrechners</t>
  </si>
  <si>
    <t>Leistung
[W]</t>
  </si>
  <si>
    <t>Vorschalt-gerät</t>
  </si>
  <si>
    <t>Stück-kosten</t>
  </si>
  <si>
    <t>Vorschaltgerät</t>
  </si>
  <si>
    <t>KVG</t>
  </si>
  <si>
    <t>VVG</t>
  </si>
  <si>
    <t>EVG</t>
  </si>
  <si>
    <t>keines</t>
  </si>
  <si>
    <t>Stück-
kosten</t>
  </si>
  <si>
    <r>
      <t xml:space="preserve">Grundsätzlich ist die Bedienung des Rechners ganz einfach. Sie füllen einfach alle gelb markierten Felder nach bestem Wissen und Gewissen aus und erhalten dann unten in den hellgrünen Feldern eine Angabe über Ihre Einsparungen.
Bei den Leuchten können Sie über das sich öffnenende Menu eine Vorauswahl treffen. Die Anschlussleistungen werden automatisch berechnet.
</t>
    </r>
    <r>
      <rPr>
        <b/>
        <sz val="11"/>
        <color theme="1"/>
        <rFont val="Calibri"/>
        <family val="2"/>
        <scheme val="minor"/>
      </rPr>
      <t>Hinweis zu Vorschaltgeräten:</t>
    </r>
    <r>
      <rPr>
        <sz val="11"/>
        <color theme="1"/>
        <rFont val="Calibri"/>
        <family val="2"/>
        <scheme val="minor"/>
      </rPr>
      <t xml:space="preserve">
Bei Leuchtstofflampen mit Starter wählen Sie bitte "KVG" oder "VVG" aus.
(bei Leuchten älter 15 Jahre meist KVG, sonst EVG)
Bei Leuchtstofflampen ohne Starter wählen Sie bitte "EVG" aus.
Bei HQL-Leuchten wählen Sie bitte "EVG" aus.
Bei Halogenlampen wählen Sie bitte "keines" aus.
</t>
    </r>
    <r>
      <rPr>
        <b/>
        <sz val="11"/>
        <color theme="1"/>
        <rFont val="Calibri"/>
        <family val="2"/>
        <scheme val="minor"/>
      </rPr>
      <t>Abschätzung der Umrüstung:</t>
    </r>
    <r>
      <rPr>
        <sz val="11"/>
        <color theme="1"/>
        <rFont val="Calibri"/>
        <family val="2"/>
        <scheme val="minor"/>
      </rPr>
      <t xml:space="preserve">
Wenn Sie schon ein Angebot von uns oder einem Elektrinstallateur vorliegen haben, können Sie hier schon die Kosten eintragen. Wenn Sie Ihre Leuchten selbst umrüsten oder die Kosten nicht berücksichtigen wollen, lassem Sie diese Felder einfach frei.
</t>
    </r>
    <r>
      <rPr>
        <b/>
        <sz val="11"/>
        <color theme="1"/>
        <rFont val="Calibri"/>
        <family val="2"/>
        <scheme val="minor"/>
      </rPr>
      <t>Angaben zu Energiekosten:</t>
    </r>
    <r>
      <rPr>
        <sz val="11"/>
        <color theme="1"/>
        <rFont val="Calibri"/>
        <family val="2"/>
        <scheme val="minor"/>
      </rPr>
      <t xml:space="preserve">
Die Angaben zu den Kosten pro Kilowattstunde entnehmen Sie bitte Ihrer letzten Stromrechnung. Stromrechnungen sind oft etwas unübersichtlich aufgebaut. Die korrekte Angabe in €/kWh erhalten Sie am einfachsten wenn Sie den kompletten Netto-Rechnungsbetrag Ihrer Stromrechnung durch die gesamt verbrauchten Kilowattstunden teilen. Dieser Wert sollte i.d.R. zwischen 0,18 und 0,25 €/kWh liegen (bei KMU's und Schwerindustrie ggf. niedriger).</t>
    </r>
    <r>
      <rPr>
        <sz val="11"/>
        <color theme="1"/>
        <rFont val="Calibri"/>
        <family val="2"/>
        <scheme val="minor"/>
      </rPr>
      <t xml:space="preserve">
</t>
    </r>
  </si>
  <si>
    <t>Bitte beachten Sie, dass die errechneten Werte unverbindlich sind
und LEDoptix keine Gewähr für die Richtigkeit der Angaben und 
errechneten Werte übernehmen kann.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</si>
</sst>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
    <numFmt numFmtId="166" formatCode="0.000"/>
  </numFmts>
  <fonts count="4" x14ac:knownFonts="1">
    <font>
      <sz val="11"/>
      <color theme="1"/>
      <name val="Calibri"/>
      <family val="2"/>
      <scheme val="minor"/>
    </font>
    <font>
      <b/>
      <sz val="11"/>
      <color theme="1"/>
      <name val="Calibri"/>
      <family val="2"/>
      <scheme val="minor"/>
    </font>
    <font>
      <sz val="18"/>
      <color theme="1"/>
      <name val="Calibri"/>
      <family val="2"/>
      <scheme val="minor"/>
    </font>
    <font>
      <b/>
      <sz val="14"/>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07">
    <xf numFmtId="0" fontId="0" fillId="0" borderId="0" xfId="0"/>
    <xf numFmtId="0" fontId="0" fillId="0" borderId="0" xfId="0" applyAlignment="1">
      <alignment horizontal="right"/>
    </xf>
    <xf numFmtId="0" fontId="1" fillId="0" borderId="0" xfId="0" applyFont="1"/>
    <xf numFmtId="0" fontId="1" fillId="0" borderId="0" xfId="0" applyFont="1" applyAlignment="1">
      <alignment horizontal="right"/>
    </xf>
    <xf numFmtId="164" fontId="0" fillId="3" borderId="9" xfId="0" applyNumberFormat="1" applyFill="1" applyBorder="1" applyAlignment="1">
      <alignment horizontal="right"/>
    </xf>
    <xf numFmtId="164" fontId="1" fillId="3" borderId="10" xfId="0" applyNumberFormat="1" applyFont="1" applyFill="1" applyBorder="1" applyAlignment="1">
      <alignment horizontal="right"/>
    </xf>
    <xf numFmtId="0" fontId="1" fillId="3" borderId="15" xfId="0" applyFont="1" applyFill="1" applyBorder="1"/>
    <xf numFmtId="0" fontId="0" fillId="3" borderId="16" xfId="0" applyFill="1" applyBorder="1" applyAlignment="1">
      <alignment horizontal="center"/>
    </xf>
    <xf numFmtId="0" fontId="0" fillId="3" borderId="20" xfId="0" applyFill="1" applyBorder="1"/>
    <xf numFmtId="1" fontId="1" fillId="3" borderId="9" xfId="0" applyNumberFormat="1" applyFont="1" applyFill="1" applyBorder="1" applyAlignment="1">
      <alignment horizontal="center"/>
    </xf>
    <xf numFmtId="1" fontId="1" fillId="3" borderId="10" xfId="0" applyNumberFormat="1" applyFont="1" applyFill="1" applyBorder="1" applyAlignment="1">
      <alignment horizontal="center"/>
    </xf>
    <xf numFmtId="0" fontId="0" fillId="0" borderId="0" xfId="0" applyNumberFormat="1"/>
    <xf numFmtId="0" fontId="0" fillId="0" borderId="0" xfId="0" applyNumberFormat="1" applyAlignment="1">
      <alignment horizontal="right"/>
    </xf>
    <xf numFmtId="1" fontId="0" fillId="3" borderId="15" xfId="0" applyNumberFormat="1" applyFill="1" applyBorder="1" applyAlignment="1">
      <alignment horizontal="center"/>
    </xf>
    <xf numFmtId="1" fontId="0" fillId="3" borderId="16" xfId="0" applyNumberFormat="1" applyFill="1" applyBorder="1" applyAlignment="1">
      <alignment horizontal="center"/>
    </xf>
    <xf numFmtId="1" fontId="0" fillId="3" borderId="17" xfId="0" applyNumberFormat="1" applyFill="1" applyBorder="1" applyAlignment="1">
      <alignment horizontal="center"/>
    </xf>
    <xf numFmtId="0" fontId="0" fillId="3" borderId="17" xfId="0" applyFill="1" applyBorder="1" applyAlignment="1">
      <alignment horizontal="center"/>
    </xf>
    <xf numFmtId="0" fontId="2" fillId="5"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xf>
    <xf numFmtId="0" fontId="0" fillId="5" borderId="0" xfId="0" applyFill="1" applyAlignment="1">
      <alignment horizontal="right"/>
    </xf>
    <xf numFmtId="0" fontId="1" fillId="5" borderId="0" xfId="0" applyFont="1" applyFill="1"/>
    <xf numFmtId="0" fontId="1" fillId="5" borderId="7" xfId="0" applyFont="1" applyFill="1" applyBorder="1" applyAlignment="1">
      <alignment horizontal="center"/>
    </xf>
    <xf numFmtId="165" fontId="1" fillId="5" borderId="1" xfId="0" applyNumberFormat="1" applyFont="1" applyFill="1" applyBorder="1" applyAlignment="1">
      <alignment horizontal="center"/>
    </xf>
    <xf numFmtId="0" fontId="0" fillId="5" borderId="14" xfId="0" applyFill="1" applyBorder="1"/>
    <xf numFmtId="0" fontId="0" fillId="5" borderId="2" xfId="0" applyFill="1" applyBorder="1" applyAlignment="1">
      <alignment horizontal="center"/>
    </xf>
    <xf numFmtId="0" fontId="0" fillId="5" borderId="19" xfId="0" applyFill="1" applyBorder="1"/>
    <xf numFmtId="0" fontId="1" fillId="5" borderId="24" xfId="0" applyFont="1" applyFill="1" applyBorder="1"/>
    <xf numFmtId="0" fontId="1" fillId="5" borderId="14" xfId="0" applyFont="1" applyFill="1" applyBorder="1"/>
    <xf numFmtId="0" fontId="1" fillId="5" borderId="0" xfId="0" quotePrefix="1" applyFont="1" applyFill="1"/>
    <xf numFmtId="0" fontId="1" fillId="5" borderId="6" xfId="0" applyFont="1" applyFill="1" applyBorder="1" applyAlignment="1">
      <alignment horizontal="center"/>
    </xf>
    <xf numFmtId="0" fontId="1" fillId="5" borderId="7" xfId="0" applyFont="1" applyFill="1" applyBorder="1" applyAlignment="1">
      <alignment horizontal="center"/>
    </xf>
    <xf numFmtId="164" fontId="1" fillId="5" borderId="6" xfId="0" applyNumberFormat="1" applyFont="1" applyFill="1" applyBorder="1" applyAlignment="1">
      <alignment horizontal="center"/>
    </xf>
    <xf numFmtId="164" fontId="1" fillId="5" borderId="7" xfId="0" applyNumberFormat="1" applyFont="1" applyFill="1" applyBorder="1" applyAlignment="1">
      <alignment horizontal="center"/>
    </xf>
    <xf numFmtId="0" fontId="1" fillId="5" borderId="0" xfId="0" applyFont="1" applyFill="1" applyAlignment="1">
      <alignment horizontal="center"/>
    </xf>
    <xf numFmtId="0" fontId="1" fillId="5" borderId="0" xfId="0" applyFont="1" applyFill="1" applyAlignment="1">
      <alignment horizontal="right"/>
    </xf>
    <xf numFmtId="0" fontId="1" fillId="5" borderId="15" xfId="0" applyFont="1" applyFill="1" applyBorder="1" applyAlignment="1">
      <alignment wrapText="1"/>
    </xf>
    <xf numFmtId="164" fontId="1" fillId="5" borderId="8" xfId="0" applyNumberFormat="1" applyFont="1" applyFill="1" applyBorder="1" applyAlignment="1">
      <alignment horizontal="center"/>
    </xf>
    <xf numFmtId="164" fontId="1" fillId="5" borderId="10" xfId="0" applyNumberFormat="1" applyFont="1" applyFill="1" applyBorder="1" applyAlignment="1">
      <alignment horizontal="center"/>
    </xf>
    <xf numFmtId="0" fontId="0" fillId="5" borderId="0" xfId="0" applyFont="1" applyFill="1"/>
    <xf numFmtId="0" fontId="1" fillId="5" borderId="0" xfId="0" applyFont="1" applyFill="1" applyBorder="1"/>
    <xf numFmtId="164" fontId="1" fillId="5" borderId="0" xfId="0" applyNumberFormat="1" applyFont="1" applyFill="1" applyBorder="1" applyAlignment="1">
      <alignment horizontal="center"/>
    </xf>
    <xf numFmtId="0" fontId="0" fillId="5" borderId="0" xfId="0" applyFont="1" applyFill="1" applyBorder="1"/>
    <xf numFmtId="0" fontId="1" fillId="5" borderId="0" xfId="0" applyFont="1" applyFill="1" applyBorder="1" applyAlignment="1">
      <alignment horizontal="center"/>
    </xf>
    <xf numFmtId="0" fontId="1" fillId="5" borderId="0" xfId="0" applyFont="1" applyFill="1" applyBorder="1" applyAlignment="1">
      <alignment horizontal="right"/>
    </xf>
    <xf numFmtId="0" fontId="0" fillId="5" borderId="0" xfId="0" applyFill="1" applyAlignment="1">
      <alignment horizontal="left" vertical="center"/>
    </xf>
    <xf numFmtId="0" fontId="0" fillId="5" borderId="0" xfId="0" applyFill="1" applyAlignment="1">
      <alignment vertical="center"/>
    </xf>
    <xf numFmtId="0" fontId="1" fillId="5" borderId="0" xfId="0" applyFont="1" applyFill="1" applyAlignment="1">
      <alignment horizontal="right" vertical="center"/>
    </xf>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xf numFmtId="3" fontId="3" fillId="6" borderId="22" xfId="0" applyNumberFormat="1" applyFont="1" applyFill="1" applyBorder="1" applyAlignment="1">
      <alignment horizontal="center" vertical="center"/>
    </xf>
    <xf numFmtId="3" fontId="3" fillId="6" borderId="23" xfId="0" applyNumberFormat="1" applyFont="1" applyFill="1" applyBorder="1" applyAlignment="1">
      <alignment horizontal="center" vertical="center"/>
    </xf>
    <xf numFmtId="164" fontId="1" fillId="5" borderId="7" xfId="0" applyNumberFormat="1" applyFont="1" applyFill="1" applyBorder="1" applyAlignment="1">
      <alignment horizontal="right"/>
    </xf>
    <xf numFmtId="0" fontId="0" fillId="5" borderId="0" xfId="0" applyFill="1" applyAlignment="1">
      <alignment horizontal="left" vertical="top" wrapText="1"/>
    </xf>
    <xf numFmtId="0" fontId="1" fillId="6" borderId="21" xfId="0" applyFont="1" applyFill="1" applyBorder="1" applyAlignment="1">
      <alignment vertical="center" wrapText="1"/>
    </xf>
    <xf numFmtId="164" fontId="3" fillId="6" borderId="22" xfId="0" applyNumberFormat="1" applyFont="1" applyFill="1" applyBorder="1" applyAlignment="1">
      <alignment horizontal="center" vertical="center"/>
    </xf>
    <xf numFmtId="164" fontId="3" fillId="6" borderId="23"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0" fillId="3" borderId="16" xfId="0" applyFill="1" applyBorder="1" applyAlignment="1">
      <alignment horizontal="center"/>
    </xf>
    <xf numFmtId="0" fontId="1" fillId="5" borderId="1" xfId="0" applyFont="1" applyFill="1" applyBorder="1" applyAlignment="1">
      <alignment horizontal="center"/>
    </xf>
    <xf numFmtId="0" fontId="1" fillId="5" borderId="28" xfId="0" applyFont="1" applyFill="1" applyBorder="1" applyAlignment="1">
      <alignment horizontal="center"/>
    </xf>
    <xf numFmtId="165" fontId="1" fillId="5" borderId="28" xfId="0" applyNumberFormat="1" applyFont="1" applyFill="1" applyBorder="1" applyAlignment="1">
      <alignment horizontal="center"/>
    </xf>
    <xf numFmtId="164" fontId="1" fillId="5" borderId="26" xfId="0" applyNumberFormat="1" applyFont="1" applyFill="1" applyBorder="1" applyAlignment="1">
      <alignment horizontal="right"/>
    </xf>
    <xf numFmtId="0" fontId="1" fillId="2" borderId="30" xfId="0" applyFont="1" applyFill="1" applyBorder="1" applyAlignment="1">
      <alignment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vertical="center" wrapText="1"/>
    </xf>
    <xf numFmtId="0" fontId="1" fillId="5" borderId="26"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2" borderId="22" xfId="0" applyFont="1" applyFill="1" applyBorder="1" applyAlignment="1">
      <alignment horizontal="center"/>
    </xf>
    <xf numFmtId="0" fontId="1" fillId="5" borderId="1" xfId="0" applyFont="1" applyFill="1" applyBorder="1" applyAlignment="1">
      <alignment horizontal="center"/>
    </xf>
    <xf numFmtId="164" fontId="1" fillId="5" borderId="1" xfId="0" applyNumberFormat="1" applyFont="1" applyFill="1" applyBorder="1" applyAlignment="1">
      <alignment horizontal="center"/>
    </xf>
    <xf numFmtId="164" fontId="1" fillId="5" borderId="9" xfId="0" applyNumberFormat="1" applyFont="1" applyFill="1" applyBorder="1" applyAlignment="1">
      <alignment horizontal="center"/>
    </xf>
    <xf numFmtId="0" fontId="1" fillId="2" borderId="27" xfId="0" applyFont="1" applyFill="1" applyBorder="1" applyAlignment="1">
      <alignment horizontal="center"/>
    </xf>
    <xf numFmtId="0" fontId="1" fillId="2" borderId="23" xfId="0" applyFont="1" applyFill="1" applyBorder="1" applyAlignment="1">
      <alignment horizontal="center"/>
    </xf>
    <xf numFmtId="0" fontId="1"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8" xfId="0" applyFont="1" applyFill="1" applyBorder="1" applyAlignment="1">
      <alignment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vertical="center"/>
    </xf>
    <xf numFmtId="164" fontId="3" fillId="6" borderId="27" xfId="0" applyNumberFormat="1" applyFont="1" applyFill="1" applyBorder="1" applyAlignment="1">
      <alignment horizontal="center" vertical="center"/>
    </xf>
    <xf numFmtId="3" fontId="3" fillId="6" borderId="27" xfId="0" applyNumberFormat="1" applyFont="1" applyFill="1" applyBorder="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0" fillId="4" borderId="25" xfId="0" applyFont="1" applyFill="1" applyBorder="1" applyProtection="1">
      <protection locked="0"/>
    </xf>
    <xf numFmtId="0" fontId="0" fillId="4" borderId="28" xfId="0" applyFill="1" applyBorder="1" applyAlignment="1" applyProtection="1">
      <alignment horizontal="center"/>
      <protection locked="0"/>
    </xf>
    <xf numFmtId="0" fontId="0" fillId="4" borderId="6" xfId="0" applyFont="1" applyFill="1" applyBorder="1" applyProtection="1">
      <protection locked="0"/>
    </xf>
    <xf numFmtId="0" fontId="0" fillId="4" borderId="1" xfId="0" applyFill="1" applyBorder="1" applyAlignment="1" applyProtection="1">
      <alignment horizontal="center"/>
      <protection locked="0"/>
    </xf>
    <xf numFmtId="0" fontId="0" fillId="4" borderId="35" xfId="0" applyFill="1" applyBorder="1" applyAlignment="1" applyProtection="1">
      <alignment horizontal="center"/>
      <protection locked="0"/>
    </xf>
    <xf numFmtId="1" fontId="0" fillId="4" borderId="29" xfId="0" applyNumberFormat="1" applyFont="1" applyFill="1" applyBorder="1" applyAlignment="1" applyProtection="1">
      <alignment horizontal="left"/>
      <protection locked="0"/>
    </xf>
    <xf numFmtId="1" fontId="0" fillId="4" borderId="28" xfId="0" applyNumberFormat="1" applyFill="1" applyBorder="1" applyAlignment="1" applyProtection="1">
      <alignment horizontal="center"/>
      <protection locked="0"/>
    </xf>
    <xf numFmtId="1" fontId="0" fillId="4" borderId="3" xfId="0" applyNumberFormat="1" applyFont="1" applyFill="1" applyBorder="1" applyAlignment="1" applyProtection="1">
      <alignment horizontal="left"/>
      <protection locked="0"/>
    </xf>
    <xf numFmtId="1" fontId="0" fillId="4" borderId="1" xfId="0" applyNumberFormat="1" applyFill="1" applyBorder="1" applyAlignment="1" applyProtection="1">
      <alignment horizontal="center"/>
      <protection locked="0"/>
    </xf>
    <xf numFmtId="164" fontId="0" fillId="4" borderId="28" xfId="0" applyNumberFormat="1" applyFill="1" applyBorder="1" applyAlignment="1" applyProtection="1">
      <alignment horizontal="right"/>
      <protection locked="0"/>
    </xf>
    <xf numFmtId="164" fontId="0" fillId="4" borderId="1" xfId="0" applyNumberFormat="1" applyFill="1" applyBorder="1" applyAlignment="1" applyProtection="1">
      <alignment horizontal="right"/>
      <protection locked="0"/>
    </xf>
    <xf numFmtId="1" fontId="0" fillId="4" borderId="14" xfId="0" applyNumberFormat="1" applyFill="1" applyBorder="1" applyAlignment="1" applyProtection="1">
      <alignment horizontal="center"/>
      <protection locked="0"/>
    </xf>
    <xf numFmtId="1" fontId="0" fillId="4" borderId="3" xfId="0" applyNumberFormat="1" applyFill="1" applyBorder="1" applyAlignment="1" applyProtection="1">
      <alignment horizontal="center"/>
      <protection locked="0"/>
    </xf>
    <xf numFmtId="166" fontId="0" fillId="4" borderId="25" xfId="0" applyNumberFormat="1" applyFill="1" applyBorder="1" applyAlignment="1" applyProtection="1">
      <alignment horizontal="center"/>
      <protection locked="0"/>
    </xf>
    <xf numFmtId="166" fontId="0" fillId="4" borderId="28" xfId="0" applyNumberFormat="1" applyFill="1" applyBorder="1" applyAlignment="1" applyProtection="1">
      <alignment horizontal="center"/>
      <protection locked="0"/>
    </xf>
    <xf numFmtId="166" fontId="0" fillId="4" borderId="26" xfId="0" applyNumberFormat="1"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7" xfId="0" applyFill="1" applyBorder="1" applyAlignment="1" applyProtection="1">
      <alignment horizontal="center"/>
      <protection locked="0"/>
    </xf>
  </cellXfs>
  <cellStyles count="1">
    <cellStyle name="Standard" xfId="0" builtinId="0"/>
  </cellStyles>
  <dxfs count="0"/>
  <tableStyles count="0" defaultTableStyle="TableStyleMedium2" defaultPivotStyle="PivotStyleLight16"/>
  <colors>
    <mruColors>
      <color rgb="FF99CC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6</xdr:col>
      <xdr:colOff>1790700</xdr:colOff>
      <xdr:row>0</xdr:row>
      <xdr:rowOff>28575</xdr:rowOff>
    </xdr:from>
    <xdr:to>
      <xdr:col>10</xdr:col>
      <xdr:colOff>738636</xdr:colOff>
      <xdr:row>3</xdr:row>
      <xdr:rowOff>300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4650" y="28575"/>
          <a:ext cx="2919861" cy="648000"/>
        </a:xfrm>
        <a:prstGeom prst="rect">
          <a:avLst/>
        </a:prstGeom>
      </xdr:spPr>
    </xdr:pic>
    <xdr:clientData/>
  </xdr:twoCellAnchor>
  <xdr:twoCellAnchor editAs="oneCell">
    <xdr:from>
      <xdr:col>8</xdr:col>
      <xdr:colOff>123825</xdr:colOff>
      <xdr:row>19</xdr:row>
      <xdr:rowOff>171450</xdr:rowOff>
    </xdr:from>
    <xdr:to>
      <xdr:col>11</xdr:col>
      <xdr:colOff>9525</xdr:colOff>
      <xdr:row>26</xdr:row>
      <xdr:rowOff>76200</xdr:rowOff>
    </xdr:to>
    <xdr:pic>
      <xdr:nvPicPr>
        <xdr:cNvPr id="3" name="Grafik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34300" y="4333875"/>
          <a:ext cx="1962150" cy="124777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38"/>
  <sheetViews>
    <sheetView tabSelected="1" workbookViewId="0">
      <selection activeCell="B7" sqref="B7"/>
    </sheetView>
  </sheetViews>
  <sheetFormatPr baseColWidth="10" defaultRowHeight="15" x14ac:dyDescent="0.25"/>
  <cols>
    <col min="1" max="1" width="3.42578125" style="19" customWidth="1"/>
    <col min="2" max="2" width="31.7109375" style="19" customWidth="1"/>
    <col min="3" max="6" width="9.7109375" style="20" customWidth="1"/>
    <col min="7" max="7" width="30.42578125" style="19" customWidth="1"/>
    <col min="8" max="9" width="9.7109375" style="20" customWidth="1"/>
    <col min="10" max="10" width="9.7109375" style="21" customWidth="1"/>
    <col min="11" max="11" width="11.7109375" style="21" customWidth="1"/>
    <col min="12" max="16384" width="11.42578125" style="19"/>
  </cols>
  <sheetData>
    <row r="3" spans="2:19" ht="23.25" x14ac:dyDescent="0.35">
      <c r="B3" s="17" t="s">
        <v>59</v>
      </c>
      <c r="C3" s="18"/>
      <c r="D3" s="18"/>
      <c r="E3" s="18"/>
      <c r="F3" s="18"/>
    </row>
    <row r="4" spans="2:19" x14ac:dyDescent="0.25">
      <c r="N4" s="22" t="s">
        <v>62</v>
      </c>
    </row>
    <row r="5" spans="2:19" ht="15.75" thickBot="1" x14ac:dyDescent="0.3">
      <c r="B5" s="22" t="s">
        <v>9</v>
      </c>
    </row>
    <row r="6" spans="2:19" ht="30.75" customHeight="1" thickBot="1" x14ac:dyDescent="0.3">
      <c r="B6" s="64" t="s">
        <v>14</v>
      </c>
      <c r="C6" s="65" t="s">
        <v>0</v>
      </c>
      <c r="D6" s="66" t="s">
        <v>63</v>
      </c>
      <c r="E6" s="66" t="s">
        <v>64</v>
      </c>
      <c r="F6" s="67" t="s">
        <v>63</v>
      </c>
      <c r="G6" s="68" t="s">
        <v>13</v>
      </c>
      <c r="H6" s="65" t="s">
        <v>2</v>
      </c>
      <c r="I6" s="65" t="s">
        <v>7</v>
      </c>
      <c r="J6" s="65" t="s">
        <v>65</v>
      </c>
      <c r="K6" s="67" t="s">
        <v>1</v>
      </c>
      <c r="N6" s="54" t="s">
        <v>72</v>
      </c>
      <c r="O6" s="54"/>
      <c r="P6" s="54"/>
      <c r="Q6" s="54"/>
      <c r="R6" s="54"/>
      <c r="S6" s="54"/>
    </row>
    <row r="7" spans="2:19" x14ac:dyDescent="0.25">
      <c r="B7" s="88" t="s">
        <v>23</v>
      </c>
      <c r="C7" s="89">
        <v>100</v>
      </c>
      <c r="D7" s="61">
        <f>IF(B7&gt;0,INDEX(Vorgaben!$A$2:$Z$40,MATCH(Amortisationsrechnung!B7,Vorgaben!$A$2:$A$40,0),2),0)</f>
        <v>58</v>
      </c>
      <c r="E7" s="92" t="s">
        <v>69</v>
      </c>
      <c r="F7" s="69">
        <f>IF(E7="KVG",ROUND(D7*70/58,0),IF(E7="VVG",ROUND(D7*66/58,0),IF(E7="EVG",ROUND(D7*62.5/58,0),D7)))</f>
        <v>63</v>
      </c>
      <c r="G7" s="93" t="s">
        <v>52</v>
      </c>
      <c r="H7" s="94">
        <v>100</v>
      </c>
      <c r="I7" s="62">
        <f>IF(G7&gt;0,INDEX(Vorgaben!$A$2:$Z$40,MATCH(Amortisationsrechnung!G7,Vorgaben!$E$2:$E$40,0),6),0)</f>
        <v>25</v>
      </c>
      <c r="J7" s="97">
        <v>30</v>
      </c>
      <c r="K7" s="63">
        <f t="shared" ref="K7:K11" si="0">H7*J7</f>
        <v>3000</v>
      </c>
      <c r="N7" s="54"/>
      <c r="O7" s="54"/>
      <c r="P7" s="54"/>
      <c r="Q7" s="54"/>
      <c r="R7" s="54"/>
      <c r="S7" s="54"/>
    </row>
    <row r="8" spans="2:19" x14ac:dyDescent="0.25">
      <c r="B8" s="90"/>
      <c r="C8" s="91"/>
      <c r="D8" s="60">
        <f>IF(B8&gt;0,INDEX(Vorgaben!$A$2:$Z$40,MATCH(Amortisationsrechnung!B8,Vorgaben!$A$2:$A$40,0),2),0)</f>
        <v>0</v>
      </c>
      <c r="E8" s="92" t="s">
        <v>70</v>
      </c>
      <c r="F8" s="23"/>
      <c r="G8" s="95"/>
      <c r="H8" s="96"/>
      <c r="I8" s="24">
        <f>IF(G8&gt;0,INDEX(Vorgaben!$A$2:$Z$40,MATCH(Amortisationsrechnung!G8,Vorgaben!$E$2:$E$40,0),6),0)</f>
        <v>0</v>
      </c>
      <c r="J8" s="98"/>
      <c r="K8" s="53">
        <f t="shared" si="0"/>
        <v>0</v>
      </c>
      <c r="N8" s="54"/>
      <c r="O8" s="54"/>
      <c r="P8" s="54"/>
      <c r="Q8" s="54"/>
      <c r="R8" s="54"/>
      <c r="S8" s="54"/>
    </row>
    <row r="9" spans="2:19" x14ac:dyDescent="0.25">
      <c r="B9" s="90"/>
      <c r="C9" s="91"/>
      <c r="D9" s="60">
        <f>IF(B9&gt;0,INDEX(Vorgaben!$A$2:$Z$40,MATCH(Amortisationsrechnung!B9,Vorgaben!$A$2:$A$40,0),2),0)</f>
        <v>0</v>
      </c>
      <c r="E9" s="92" t="s">
        <v>70</v>
      </c>
      <c r="F9" s="23"/>
      <c r="G9" s="95"/>
      <c r="H9" s="96"/>
      <c r="I9" s="24">
        <f>IF(G9&gt;0,INDEX(Vorgaben!$A$2:$Z$40,MATCH(Amortisationsrechnung!G9,Vorgaben!$E$2:$E$40,0),6),0)</f>
        <v>0</v>
      </c>
      <c r="J9" s="98"/>
      <c r="K9" s="53">
        <f t="shared" si="0"/>
        <v>0</v>
      </c>
      <c r="N9" s="54"/>
      <c r="O9" s="54"/>
      <c r="P9" s="54"/>
      <c r="Q9" s="54"/>
      <c r="R9" s="54"/>
      <c r="S9" s="54"/>
    </row>
    <row r="10" spans="2:19" x14ac:dyDescent="0.25">
      <c r="B10" s="90"/>
      <c r="C10" s="91"/>
      <c r="D10" s="60">
        <f>IF(B10&gt;0,INDEX(Vorgaben!$A$2:$Z$40,MATCH(Amortisationsrechnung!B10,Vorgaben!$A$2:$A$40,0),2),0)</f>
        <v>0</v>
      </c>
      <c r="E10" s="92" t="s">
        <v>70</v>
      </c>
      <c r="F10" s="23"/>
      <c r="G10" s="95"/>
      <c r="H10" s="96"/>
      <c r="I10" s="24">
        <f>IF(G10&gt;0,INDEX(Vorgaben!$A$2:$Z$40,MATCH(Amortisationsrechnung!G10,Vorgaben!$E$2:$E$40,0),6),0)</f>
        <v>0</v>
      </c>
      <c r="J10" s="98"/>
      <c r="K10" s="53">
        <f t="shared" si="0"/>
        <v>0</v>
      </c>
      <c r="N10" s="54"/>
      <c r="O10" s="54"/>
      <c r="P10" s="54"/>
      <c r="Q10" s="54"/>
      <c r="R10" s="54"/>
      <c r="S10" s="54"/>
    </row>
    <row r="11" spans="2:19" x14ac:dyDescent="0.25">
      <c r="B11" s="90"/>
      <c r="C11" s="91"/>
      <c r="D11" s="60">
        <f>IF(B11&gt;0,INDEX(Vorgaben!$A$2:$Z$40,MATCH(Amortisationsrechnung!B11,Vorgaben!$A$2:$A$40,0),2),0)</f>
        <v>0</v>
      </c>
      <c r="E11" s="92" t="s">
        <v>70</v>
      </c>
      <c r="F11" s="23"/>
      <c r="G11" s="95"/>
      <c r="H11" s="96"/>
      <c r="I11" s="24">
        <f>IF(G11&gt;0,INDEX(Vorgaben!$A$2:$Z$40,MATCH(Amortisationsrechnung!G11,Vorgaben!$E$2:$E$40,0),6),0)</f>
        <v>0</v>
      </c>
      <c r="J11" s="98"/>
      <c r="K11" s="53">
        <f t="shared" si="0"/>
        <v>0</v>
      </c>
      <c r="N11" s="54"/>
      <c r="O11" s="54"/>
      <c r="P11" s="54"/>
      <c r="Q11" s="54"/>
      <c r="R11" s="54"/>
      <c r="S11" s="54"/>
    </row>
    <row r="12" spans="2:19" ht="15.75" thickBot="1" x14ac:dyDescent="0.3">
      <c r="B12" s="70"/>
      <c r="C12" s="71"/>
      <c r="D12" s="9">
        <f>C7*D7+C8*D8+C9*D9+C10*D10+C11*D11</f>
        <v>5800</v>
      </c>
      <c r="E12" s="9"/>
      <c r="F12" s="10"/>
      <c r="G12" s="59"/>
      <c r="H12" s="16"/>
      <c r="I12" s="9">
        <f>H7*I7+H8*I8+H9*I9+H10*I10+H11*I11</f>
        <v>2500</v>
      </c>
      <c r="J12" s="4"/>
      <c r="K12" s="5">
        <f>SUM(K7:K11)</f>
        <v>3000</v>
      </c>
      <c r="M12" s="22"/>
      <c r="N12" s="54"/>
      <c r="O12" s="54"/>
      <c r="P12" s="54"/>
      <c r="Q12" s="54"/>
      <c r="R12" s="54"/>
      <c r="S12" s="54"/>
    </row>
    <row r="13" spans="2:19" x14ac:dyDescent="0.25">
      <c r="N13" s="54"/>
      <c r="O13" s="54"/>
      <c r="P13" s="54"/>
      <c r="Q13" s="54"/>
      <c r="R13" s="54"/>
      <c r="S13" s="54"/>
    </row>
    <row r="14" spans="2:19" ht="15.75" thickBot="1" x14ac:dyDescent="0.3">
      <c r="B14" s="22" t="s">
        <v>60</v>
      </c>
      <c r="N14" s="54"/>
      <c r="O14" s="54"/>
      <c r="P14" s="54"/>
      <c r="Q14" s="54"/>
      <c r="R14" s="54"/>
      <c r="S14" s="54"/>
    </row>
    <row r="15" spans="2:19" ht="30" customHeight="1" x14ac:dyDescent="0.25">
      <c r="B15" s="78" t="s">
        <v>15</v>
      </c>
      <c r="C15" s="79"/>
      <c r="D15" s="79"/>
      <c r="E15" s="79"/>
      <c r="F15" s="79"/>
      <c r="G15" s="80"/>
      <c r="H15" s="81" t="s">
        <v>2</v>
      </c>
      <c r="I15" s="82"/>
      <c r="J15" s="58" t="s">
        <v>71</v>
      </c>
      <c r="K15" s="83" t="s">
        <v>1</v>
      </c>
      <c r="N15" s="54"/>
      <c r="O15" s="54"/>
      <c r="P15" s="54"/>
      <c r="Q15" s="54"/>
      <c r="R15" s="54"/>
      <c r="S15" s="54"/>
    </row>
    <row r="16" spans="2:19" x14ac:dyDescent="0.25">
      <c r="B16" s="25" t="s">
        <v>11</v>
      </c>
      <c r="C16" s="26"/>
      <c r="D16" s="26"/>
      <c r="E16" s="26"/>
      <c r="F16" s="26"/>
      <c r="G16" s="27"/>
      <c r="H16" s="99">
        <v>0</v>
      </c>
      <c r="I16" s="100"/>
      <c r="J16" s="98">
        <v>0</v>
      </c>
      <c r="K16" s="53">
        <f>H16*J16</f>
        <v>0</v>
      </c>
      <c r="N16" s="54"/>
      <c r="O16" s="54"/>
      <c r="P16" s="54"/>
      <c r="Q16" s="54"/>
      <c r="R16" s="54"/>
      <c r="S16" s="54"/>
    </row>
    <row r="17" spans="2:19" x14ac:dyDescent="0.25">
      <c r="B17" s="25" t="s">
        <v>12</v>
      </c>
      <c r="C17" s="26"/>
      <c r="D17" s="26"/>
      <c r="E17" s="26"/>
      <c r="F17" s="26"/>
      <c r="G17" s="27"/>
      <c r="H17" s="99">
        <f>H11</f>
        <v>0</v>
      </c>
      <c r="I17" s="100"/>
      <c r="J17" s="98">
        <v>0</v>
      </c>
      <c r="K17" s="53">
        <f t="shared" ref="K17" si="1">H17*J17</f>
        <v>0</v>
      </c>
      <c r="N17" s="54"/>
      <c r="O17" s="54"/>
      <c r="P17" s="54"/>
      <c r="Q17" s="54"/>
      <c r="R17" s="54"/>
      <c r="S17" s="54"/>
    </row>
    <row r="18" spans="2:19" ht="15.75" thickBot="1" x14ac:dyDescent="0.3">
      <c r="B18" s="6" t="s">
        <v>5</v>
      </c>
      <c r="C18" s="7"/>
      <c r="D18" s="7"/>
      <c r="E18" s="7"/>
      <c r="F18" s="7"/>
      <c r="G18" s="8"/>
      <c r="H18" s="13"/>
      <c r="I18" s="14"/>
      <c r="J18" s="15"/>
      <c r="K18" s="5">
        <f>SUM(K16:K17)</f>
        <v>0</v>
      </c>
      <c r="N18" s="54"/>
      <c r="O18" s="54"/>
      <c r="P18" s="54"/>
      <c r="Q18" s="54"/>
      <c r="R18" s="54"/>
      <c r="S18" s="54"/>
    </row>
    <row r="19" spans="2:19" ht="15.75" thickBot="1" x14ac:dyDescent="0.3">
      <c r="N19" s="54"/>
      <c r="O19" s="54"/>
      <c r="P19" s="54"/>
      <c r="Q19" s="54"/>
      <c r="R19" s="54"/>
      <c r="S19" s="54"/>
    </row>
    <row r="20" spans="2:19" ht="15.75" thickBot="1" x14ac:dyDescent="0.3">
      <c r="B20" s="72" t="s">
        <v>8</v>
      </c>
      <c r="C20" s="76"/>
      <c r="D20" s="76"/>
      <c r="E20" s="76"/>
      <c r="F20" s="77"/>
      <c r="N20" s="54"/>
      <c r="O20" s="54"/>
      <c r="P20" s="54"/>
      <c r="Q20" s="54"/>
      <c r="R20" s="54"/>
      <c r="S20" s="54"/>
    </row>
    <row r="21" spans="2:19" x14ac:dyDescent="0.25">
      <c r="B21" s="28" t="s">
        <v>10</v>
      </c>
      <c r="C21" s="101">
        <v>0.2</v>
      </c>
      <c r="D21" s="102"/>
      <c r="E21" s="102"/>
      <c r="F21" s="103"/>
      <c r="G21" s="19" t="s">
        <v>61</v>
      </c>
      <c r="N21" s="54"/>
      <c r="O21" s="54"/>
      <c r="P21" s="54"/>
      <c r="Q21" s="54"/>
      <c r="R21" s="54"/>
      <c r="S21" s="54"/>
    </row>
    <row r="22" spans="2:19" x14ac:dyDescent="0.25">
      <c r="B22" s="29" t="s">
        <v>3</v>
      </c>
      <c r="C22" s="104">
        <v>10</v>
      </c>
      <c r="D22" s="105"/>
      <c r="E22" s="105"/>
      <c r="F22" s="106"/>
      <c r="G22" s="30" t="str">
        <f>"   entspricht "&amp;C22*C23&amp;" h Betrieb pro Woche"</f>
        <v xml:space="preserve">   entspricht 50 h Betrieb pro Woche</v>
      </c>
      <c r="N22" s="54"/>
      <c r="O22" s="54"/>
      <c r="P22" s="54"/>
      <c r="Q22" s="54"/>
      <c r="R22" s="54"/>
      <c r="S22" s="54"/>
    </row>
    <row r="23" spans="2:19" x14ac:dyDescent="0.25">
      <c r="B23" s="29" t="s">
        <v>4</v>
      </c>
      <c r="C23" s="104">
        <v>5</v>
      </c>
      <c r="D23" s="105"/>
      <c r="E23" s="105"/>
      <c r="F23" s="106"/>
      <c r="N23" s="54"/>
      <c r="O23" s="54"/>
      <c r="P23" s="54"/>
      <c r="Q23" s="54"/>
      <c r="R23" s="54"/>
      <c r="S23" s="54"/>
    </row>
    <row r="24" spans="2:19" x14ac:dyDescent="0.25">
      <c r="B24" s="29" t="s">
        <v>6</v>
      </c>
      <c r="C24" s="31">
        <f>C22*C23*52</f>
        <v>2600</v>
      </c>
      <c r="D24" s="73"/>
      <c r="E24" s="73"/>
      <c r="F24" s="32"/>
      <c r="N24" s="54"/>
      <c r="O24" s="54"/>
      <c r="P24" s="54"/>
      <c r="Q24" s="54"/>
      <c r="R24" s="54"/>
      <c r="S24" s="54"/>
    </row>
    <row r="25" spans="2:19" s="22" customFormat="1" ht="15" customHeight="1" x14ac:dyDescent="0.25">
      <c r="B25" s="29" t="s">
        <v>18</v>
      </c>
      <c r="C25" s="33">
        <f>I12*C24/1000*C21</f>
        <v>1300</v>
      </c>
      <c r="D25" s="74"/>
      <c r="E25" s="74"/>
      <c r="F25" s="34"/>
      <c r="H25" s="35"/>
      <c r="I25" s="35"/>
      <c r="J25" s="36"/>
      <c r="K25" s="36"/>
      <c r="N25" s="54"/>
      <c r="O25" s="54"/>
      <c r="P25" s="54"/>
      <c r="Q25" s="54"/>
      <c r="R25" s="54"/>
      <c r="S25" s="54"/>
    </row>
    <row r="26" spans="2:19" s="22" customFormat="1" ht="15" customHeight="1" thickBot="1" x14ac:dyDescent="0.3">
      <c r="B26" s="37" t="s">
        <v>19</v>
      </c>
      <c r="C26" s="38">
        <f>D12*C24/1000*C21</f>
        <v>3016</v>
      </c>
      <c r="D26" s="75"/>
      <c r="E26" s="75"/>
      <c r="F26" s="39"/>
      <c r="G26" s="40"/>
      <c r="H26" s="35"/>
      <c r="I26" s="35"/>
      <c r="J26" s="36"/>
      <c r="K26" s="36"/>
      <c r="N26" s="54"/>
      <c r="O26" s="54"/>
      <c r="P26" s="54"/>
      <c r="Q26" s="54"/>
      <c r="R26" s="54"/>
      <c r="S26" s="54"/>
    </row>
    <row r="27" spans="2:19" s="41" customFormat="1" ht="7.5" customHeight="1" thickBot="1" x14ac:dyDescent="0.3">
      <c r="C27" s="42"/>
      <c r="D27" s="42"/>
      <c r="E27" s="42"/>
      <c r="F27" s="42"/>
      <c r="G27" s="43"/>
      <c r="H27" s="44"/>
      <c r="I27" s="44"/>
      <c r="J27" s="45"/>
      <c r="K27" s="45"/>
      <c r="N27" s="54"/>
      <c r="O27" s="54"/>
      <c r="P27" s="54"/>
      <c r="Q27" s="54"/>
      <c r="R27" s="54"/>
      <c r="S27" s="54"/>
    </row>
    <row r="28" spans="2:19" s="47" customFormat="1" ht="31.5" customHeight="1" thickBot="1" x14ac:dyDescent="0.3">
      <c r="B28" s="55" t="s">
        <v>17</v>
      </c>
      <c r="C28" s="56">
        <f>C26-C25</f>
        <v>1716</v>
      </c>
      <c r="D28" s="84"/>
      <c r="E28" s="84"/>
      <c r="F28" s="57"/>
      <c r="G28" s="46"/>
      <c r="H28" s="49" t="s">
        <v>57</v>
      </c>
      <c r="I28" s="50"/>
      <c r="J28" s="51" t="str">
        <f>""&amp;ROUND(C28/C21,0)&amp;" kWh"</f>
        <v>8580 kWh</v>
      </c>
      <c r="K28" s="52"/>
      <c r="N28" s="54"/>
      <c r="O28" s="54"/>
      <c r="P28" s="54"/>
      <c r="Q28" s="54"/>
      <c r="R28" s="54"/>
      <c r="S28" s="54"/>
    </row>
    <row r="29" spans="2:19" s="47" customFormat="1" ht="31.5" customHeight="1" thickBot="1" x14ac:dyDescent="0.3">
      <c r="B29" s="55" t="s">
        <v>16</v>
      </c>
      <c r="C29" s="51">
        <f>ROUNDUP((K12+K18)/(C28/365),0)</f>
        <v>639</v>
      </c>
      <c r="D29" s="85"/>
      <c r="E29" s="85"/>
      <c r="F29" s="52"/>
      <c r="H29" s="49" t="s">
        <v>58</v>
      </c>
      <c r="I29" s="50"/>
      <c r="J29" s="51" t="str">
        <f>""&amp;ROUNDUP(C28/C21*0.56/1000,0)&amp;"  Tonnen"</f>
        <v>5  Tonnen</v>
      </c>
      <c r="K29" s="52"/>
      <c r="N29" s="54"/>
      <c r="O29" s="54"/>
      <c r="P29" s="54"/>
      <c r="Q29" s="54"/>
      <c r="R29" s="54"/>
      <c r="S29" s="54"/>
    </row>
    <row r="30" spans="2:19" x14ac:dyDescent="0.25">
      <c r="D30" s="48" t="str">
        <f>"  =  "&amp;ROUNDDOWN(C29/365,0)&amp;" Jahre und "&amp;MOD(C29,365)&amp;" Tage für die Refinanzierung"</f>
        <v xml:space="preserve">  =  1 Jahre und 274 Tage für die Refinanzierung</v>
      </c>
      <c r="E30" s="48"/>
      <c r="F30" s="48"/>
      <c r="N30" s="54"/>
      <c r="O30" s="54"/>
      <c r="P30" s="54"/>
      <c r="Q30" s="54"/>
      <c r="R30" s="54"/>
      <c r="S30" s="54"/>
    </row>
    <row r="31" spans="2:19" x14ac:dyDescent="0.25">
      <c r="N31" s="54"/>
      <c r="O31" s="54"/>
      <c r="P31" s="54"/>
      <c r="Q31" s="54"/>
      <c r="R31" s="54"/>
      <c r="S31" s="54"/>
    </row>
    <row r="32" spans="2:19" x14ac:dyDescent="0.25">
      <c r="B32" s="86" t="s">
        <v>73</v>
      </c>
      <c r="C32" s="87"/>
      <c r="D32" s="87"/>
      <c r="E32" s="87"/>
      <c r="F32" s="87"/>
      <c r="G32" s="87"/>
      <c r="H32" s="87"/>
      <c r="I32" s="87"/>
      <c r="J32" s="87"/>
      <c r="K32" s="87"/>
      <c r="N32" s="54"/>
      <c r="O32" s="54"/>
      <c r="P32" s="54"/>
      <c r="Q32" s="54"/>
      <c r="R32" s="54"/>
      <c r="S32" s="54"/>
    </row>
    <row r="33" spans="2:19" x14ac:dyDescent="0.25">
      <c r="B33" s="87"/>
      <c r="C33" s="87"/>
      <c r="D33" s="87"/>
      <c r="E33" s="87"/>
      <c r="F33" s="87"/>
      <c r="G33" s="87"/>
      <c r="H33" s="87"/>
      <c r="I33" s="87"/>
      <c r="J33" s="87"/>
      <c r="K33" s="87"/>
      <c r="N33" s="54"/>
      <c r="O33" s="54"/>
      <c r="P33" s="54"/>
      <c r="Q33" s="54"/>
      <c r="R33" s="54"/>
      <c r="S33" s="54"/>
    </row>
    <row r="34" spans="2:19" x14ac:dyDescent="0.25">
      <c r="B34" s="87"/>
      <c r="C34" s="87"/>
      <c r="D34" s="87"/>
      <c r="E34" s="87"/>
      <c r="F34" s="87"/>
      <c r="G34" s="87"/>
      <c r="H34" s="87"/>
      <c r="I34" s="87"/>
      <c r="J34" s="87"/>
      <c r="K34" s="87"/>
      <c r="N34" s="54"/>
      <c r="O34" s="54"/>
      <c r="P34" s="54"/>
      <c r="Q34" s="54"/>
      <c r="R34" s="54"/>
      <c r="S34" s="54"/>
    </row>
    <row r="35" spans="2:19" x14ac:dyDescent="0.25">
      <c r="B35" s="87"/>
      <c r="C35" s="87"/>
      <c r="D35" s="87"/>
      <c r="E35" s="87"/>
      <c r="F35" s="87"/>
      <c r="G35" s="87"/>
      <c r="H35" s="87"/>
      <c r="I35" s="87"/>
      <c r="J35" s="87"/>
      <c r="K35" s="87"/>
      <c r="N35" s="54"/>
      <c r="O35" s="54"/>
      <c r="P35" s="54"/>
      <c r="Q35" s="54"/>
      <c r="R35" s="54"/>
      <c r="S35" s="54"/>
    </row>
    <row r="36" spans="2:19" x14ac:dyDescent="0.25">
      <c r="N36" s="54"/>
      <c r="O36" s="54"/>
      <c r="P36" s="54"/>
      <c r="Q36" s="54"/>
      <c r="R36" s="54"/>
      <c r="S36" s="54"/>
    </row>
    <row r="37" spans="2:19" x14ac:dyDescent="0.25">
      <c r="N37" s="54"/>
      <c r="O37" s="54"/>
      <c r="P37" s="54"/>
      <c r="Q37" s="54"/>
      <c r="R37" s="54"/>
      <c r="S37" s="54"/>
    </row>
    <row r="38" spans="2:19" x14ac:dyDescent="0.25">
      <c r="N38" s="54"/>
      <c r="O38" s="54"/>
      <c r="P38" s="54"/>
      <c r="Q38" s="54"/>
      <c r="R38" s="54"/>
      <c r="S38" s="54"/>
    </row>
  </sheetData>
  <sheetProtection password="B71D" sheet="1" objects="1" scenarios="1"/>
  <mergeCells count="21">
    <mergeCell ref="C21:F21"/>
    <mergeCell ref="B20:F20"/>
    <mergeCell ref="C22:F22"/>
    <mergeCell ref="C23:F23"/>
    <mergeCell ref="N6:S38"/>
    <mergeCell ref="B32:K35"/>
    <mergeCell ref="B12:C12"/>
    <mergeCell ref="G12:H12"/>
    <mergeCell ref="H15:I15"/>
    <mergeCell ref="H16:I16"/>
    <mergeCell ref="H17:I17"/>
    <mergeCell ref="C24:F24"/>
    <mergeCell ref="C25:F25"/>
    <mergeCell ref="C26:F26"/>
    <mergeCell ref="C28:F28"/>
    <mergeCell ref="C29:F29"/>
    <mergeCell ref="H18:J18"/>
    <mergeCell ref="H28:I28"/>
    <mergeCell ref="J28:K28"/>
    <mergeCell ref="H29:I29"/>
    <mergeCell ref="J29:K29"/>
  </mergeCells>
  <pageMargins left="0.59055118110236227" right="0.43307086614173229" top="0.55118110236220474" bottom="0.35433070866141736" header="0.31496062992125984" footer="0.31496062992125984"/>
  <pageSetup paperSize="9" scale="9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Vorgaben!$A$3:$A$14</xm:f>
          </x14:formula1>
          <xm:sqref>B7:B11</xm:sqref>
        </x14:dataValidation>
        <x14:dataValidation type="list" allowBlank="1" showInputMessage="1" showErrorMessage="1">
          <x14:formula1>
            <xm:f>Vorgaben!$E$3:$E$24</xm:f>
          </x14:formula1>
          <xm:sqref>G7:G11</xm:sqref>
        </x14:dataValidation>
        <x14:dataValidation type="list" allowBlank="1" showInputMessage="1" showErrorMessage="1">
          <x14:formula1>
            <xm:f>Vorgaben!$I$3:$I$6</xm:f>
          </x14:formula1>
          <xm:sqref>E7:E11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E12" sqref="E12"/>
    </sheetView>
  </sheetViews>
  <sheetFormatPr baseColWidth="10" defaultRowHeight="15" x14ac:dyDescent="0.25"/>
  <cols>
    <col min="1" max="1" width="27.85546875" bestFit="1" customWidth="1"/>
    <col min="2" max="2" width="11.42578125" style="1"/>
    <col min="5" max="5" width="27.85546875" bestFit="1" customWidth="1"/>
    <col min="6" max="6" width="11.42578125" style="1"/>
  </cols>
  <sheetData>
    <row r="2" spans="1:10" x14ac:dyDescent="0.25">
      <c r="A2" s="2" t="s">
        <v>20</v>
      </c>
      <c r="B2" s="3" t="s">
        <v>21</v>
      </c>
      <c r="C2" s="2"/>
      <c r="D2" s="2"/>
      <c r="E2" s="2" t="s">
        <v>22</v>
      </c>
      <c r="F2" s="3" t="s">
        <v>21</v>
      </c>
      <c r="I2" s="2" t="s">
        <v>66</v>
      </c>
    </row>
    <row r="3" spans="1:10" x14ac:dyDescent="0.25">
      <c r="A3" t="s">
        <v>23</v>
      </c>
      <c r="B3" s="12">
        <v>58</v>
      </c>
      <c r="E3" t="s">
        <v>51</v>
      </c>
      <c r="F3" s="12">
        <v>22</v>
      </c>
      <c r="I3" t="s">
        <v>67</v>
      </c>
      <c r="J3" s="11"/>
    </row>
    <row r="4" spans="1:10" x14ac:dyDescent="0.25">
      <c r="A4" t="s">
        <v>24</v>
      </c>
      <c r="B4" s="12">
        <v>116</v>
      </c>
      <c r="E4" t="s">
        <v>52</v>
      </c>
      <c r="F4" s="12">
        <v>25</v>
      </c>
      <c r="I4" t="s">
        <v>68</v>
      </c>
      <c r="J4" s="11"/>
    </row>
    <row r="5" spans="1:10" x14ac:dyDescent="0.25">
      <c r="A5" t="s">
        <v>25</v>
      </c>
      <c r="B5" s="12">
        <v>36</v>
      </c>
      <c r="E5" t="s">
        <v>53</v>
      </c>
      <c r="F5" s="12">
        <v>30</v>
      </c>
      <c r="I5" t="s">
        <v>69</v>
      </c>
      <c r="J5" s="11"/>
    </row>
    <row r="6" spans="1:10" x14ac:dyDescent="0.25">
      <c r="A6" t="s">
        <v>26</v>
      </c>
      <c r="B6" s="12">
        <v>72</v>
      </c>
      <c r="E6" t="s">
        <v>54</v>
      </c>
      <c r="F6" s="12">
        <v>20</v>
      </c>
      <c r="I6" t="s">
        <v>70</v>
      </c>
      <c r="J6" s="11"/>
    </row>
    <row r="7" spans="1:10" x14ac:dyDescent="0.25">
      <c r="A7" t="s">
        <v>27</v>
      </c>
      <c r="B7" s="12">
        <v>54</v>
      </c>
      <c r="E7" t="s">
        <v>55</v>
      </c>
      <c r="F7" s="12">
        <v>18</v>
      </c>
      <c r="I7" s="11"/>
      <c r="J7" s="11"/>
    </row>
    <row r="8" spans="1:10" x14ac:dyDescent="0.25">
      <c r="A8" t="s">
        <v>28</v>
      </c>
      <c r="B8" s="12">
        <v>72</v>
      </c>
      <c r="E8" t="s">
        <v>56</v>
      </c>
      <c r="F8" s="12">
        <v>10</v>
      </c>
      <c r="I8" s="11"/>
      <c r="J8" s="11"/>
    </row>
    <row r="9" spans="1:10" x14ac:dyDescent="0.25">
      <c r="A9" t="s">
        <v>30</v>
      </c>
      <c r="B9" s="1">
        <v>250</v>
      </c>
      <c r="E9" t="s">
        <v>29</v>
      </c>
      <c r="F9" s="1">
        <v>40</v>
      </c>
    </row>
    <row r="10" spans="1:10" x14ac:dyDescent="0.25">
      <c r="A10" t="s">
        <v>31</v>
      </c>
      <c r="B10" s="1">
        <v>400</v>
      </c>
      <c r="E10" t="s">
        <v>38</v>
      </c>
      <c r="F10" s="12">
        <v>80</v>
      </c>
      <c r="I10" s="11"/>
    </row>
    <row r="11" spans="1:10" x14ac:dyDescent="0.25">
      <c r="A11" t="s">
        <v>32</v>
      </c>
      <c r="B11" s="1">
        <v>500</v>
      </c>
      <c r="E11" t="s">
        <v>33</v>
      </c>
      <c r="F11" s="12">
        <v>100</v>
      </c>
      <c r="I11" s="11"/>
    </row>
    <row r="12" spans="1:10" x14ac:dyDescent="0.25">
      <c r="A12" t="s">
        <v>50</v>
      </c>
      <c r="B12" s="1">
        <v>250</v>
      </c>
      <c r="E12" t="s">
        <v>39</v>
      </c>
      <c r="F12" s="12">
        <v>120</v>
      </c>
      <c r="I12" s="11"/>
    </row>
    <row r="13" spans="1:10" x14ac:dyDescent="0.25">
      <c r="A13" t="s">
        <v>43</v>
      </c>
      <c r="B13" s="1">
        <v>400</v>
      </c>
      <c r="E13" t="s">
        <v>34</v>
      </c>
      <c r="F13" s="12">
        <v>150</v>
      </c>
      <c r="I13" s="11"/>
    </row>
    <row r="14" spans="1:10" x14ac:dyDescent="0.25">
      <c r="A14" t="s">
        <v>44</v>
      </c>
      <c r="B14" s="1">
        <v>500</v>
      </c>
      <c r="E14" t="s">
        <v>40</v>
      </c>
      <c r="F14" s="12">
        <v>160</v>
      </c>
      <c r="I14" s="11"/>
    </row>
    <row r="15" spans="1:10" x14ac:dyDescent="0.25">
      <c r="E15" t="s">
        <v>35</v>
      </c>
      <c r="F15" s="12">
        <v>200</v>
      </c>
      <c r="I15" s="11"/>
    </row>
    <row r="16" spans="1:10" x14ac:dyDescent="0.25">
      <c r="E16" t="s">
        <v>36</v>
      </c>
      <c r="F16" s="12">
        <v>300</v>
      </c>
      <c r="I16" s="11"/>
    </row>
    <row r="17" spans="5:9" x14ac:dyDescent="0.25">
      <c r="E17" t="s">
        <v>37</v>
      </c>
      <c r="F17" s="12">
        <v>400</v>
      </c>
      <c r="I17" s="11"/>
    </row>
    <row r="18" spans="5:9" x14ac:dyDescent="0.25">
      <c r="E18" t="s">
        <v>41</v>
      </c>
      <c r="F18" s="12">
        <v>40</v>
      </c>
      <c r="I18" s="11"/>
    </row>
    <row r="19" spans="5:9" x14ac:dyDescent="0.25">
      <c r="E19" t="s">
        <v>42</v>
      </c>
      <c r="F19" s="12">
        <v>60</v>
      </c>
      <c r="I19" s="11"/>
    </row>
    <row r="20" spans="5:9" x14ac:dyDescent="0.25">
      <c r="E20" t="s">
        <v>45</v>
      </c>
      <c r="F20" s="12">
        <v>50</v>
      </c>
      <c r="I20" s="11"/>
    </row>
    <row r="21" spans="5:9" x14ac:dyDescent="0.25">
      <c r="E21" t="s">
        <v>46</v>
      </c>
      <c r="F21" s="12">
        <v>80</v>
      </c>
      <c r="I21" s="11"/>
    </row>
    <row r="22" spans="5:9" x14ac:dyDescent="0.25">
      <c r="E22" t="s">
        <v>47</v>
      </c>
      <c r="F22" s="12">
        <v>140</v>
      </c>
      <c r="I22" s="11"/>
    </row>
    <row r="23" spans="5:9" x14ac:dyDescent="0.25">
      <c r="E23" t="s">
        <v>48</v>
      </c>
      <c r="F23" s="12">
        <v>40</v>
      </c>
      <c r="I23" s="11"/>
    </row>
    <row r="24" spans="5:9" x14ac:dyDescent="0.25">
      <c r="E24" t="s">
        <v>49</v>
      </c>
      <c r="F24" s="12">
        <v>60</v>
      </c>
      <c r="I24" s="11"/>
    </row>
  </sheetData>
  <sheetProtection password="B71D"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Amortisationsrechnung</vt:lpstr>
      <vt:lpstr>Vorgaben</vt:lpstr>
      <vt:lpstr>Amortisationsrechnung!Druckbereich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 Ohm</dc:creator>
  <cp:lastModifiedBy>Hendrik Ohm</cp:lastModifiedBy>
  <cp:lastPrinted>2015-12-10T15:29:36Z</cp:lastPrinted>
  <dcterms:created xsi:type="dcterms:W3CDTF">2015-04-13T11:00:28Z</dcterms:created>
  <dcterms:modified xsi:type="dcterms:W3CDTF">2015-12-10T15:33:28Z</dcterms:modified>
</cp:coreProperties>
</file>